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lanma\Documents\Alfa\covid 19\CALCULADORAS en producción\"/>
    </mc:Choice>
  </mc:AlternateContent>
  <bookViews>
    <workbookView xWindow="0" yWindow="0" windowWidth="25320" windowHeight="10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9" i="1" l="1"/>
  <c r="V5" i="1"/>
  <c r="W6" i="1" l="1"/>
  <c r="W8" i="1" l="1"/>
  <c r="W9" i="1"/>
  <c r="W10" i="1" s="1"/>
  <c r="Z28" i="1" l="1"/>
  <c r="AA28" i="1" s="1"/>
  <c r="AB28" i="1" s="1"/>
  <c r="U8" i="1" l="1"/>
  <c r="V8" i="1" s="1"/>
  <c r="Y35" i="1"/>
  <c r="Z35" i="1" s="1"/>
  <c r="AA35" i="1" s="1"/>
  <c r="AB35" i="1" s="1"/>
  <c r="Y34" i="1"/>
  <c r="Z34" i="1" s="1"/>
  <c r="AA34" i="1" s="1"/>
  <c r="AB34" i="1" s="1"/>
  <c r="Y33" i="1"/>
  <c r="Z33" i="1" s="1"/>
  <c r="AA33" i="1" s="1"/>
  <c r="AB33" i="1" s="1"/>
  <c r="Y32" i="1"/>
  <c r="Z32" i="1" s="1"/>
  <c r="AA32" i="1" s="1"/>
  <c r="AB32" i="1" s="1"/>
  <c r="Y31" i="1"/>
  <c r="Z31" i="1" s="1"/>
  <c r="AA31" i="1" s="1"/>
  <c r="AB31" i="1" s="1"/>
  <c r="Y30" i="1"/>
  <c r="Z30" i="1" s="1"/>
  <c r="AA30" i="1" s="1"/>
  <c r="AB30" i="1" s="1"/>
  <c r="Y29" i="1"/>
  <c r="Z29" i="1" s="1"/>
  <c r="AA29" i="1" s="1"/>
  <c r="AB29" i="1" s="1"/>
  <c r="Y11" i="1"/>
  <c r="Z11" i="1" s="1"/>
  <c r="AA11" i="1" s="1"/>
  <c r="AB11" i="1" s="1"/>
  <c r="C11" i="1" l="1"/>
  <c r="E11" i="1" l="1"/>
  <c r="I11" i="1" s="1"/>
  <c r="K11" i="1" s="1"/>
  <c r="M11" i="1" s="1"/>
  <c r="O11" i="1" s="1"/>
  <c r="C13" i="1"/>
  <c r="E13" i="1" s="1"/>
  <c r="G13" i="1" s="1"/>
  <c r="G11" i="1" l="1"/>
  <c r="C15" i="1"/>
  <c r="C17" i="1" s="1"/>
  <c r="E17" i="1" s="1"/>
  <c r="I13" i="1"/>
  <c r="K13" i="1" s="1"/>
  <c r="M13" i="1" s="1"/>
  <c r="O13" i="1" s="1"/>
  <c r="G21" i="1" l="1"/>
  <c r="I17" i="1"/>
  <c r="K17" i="1" s="1"/>
  <c r="M17" i="1" s="1"/>
  <c r="O17" i="1" s="1"/>
  <c r="G20" i="1" s="1"/>
  <c r="G17" i="1"/>
  <c r="E15" i="1"/>
  <c r="G15" i="1" s="1"/>
  <c r="I15" i="1" l="1"/>
  <c r="K15" i="1" s="1"/>
  <c r="M15" i="1" s="1"/>
  <c r="O15" i="1" s="1"/>
</calcChain>
</file>

<file path=xl/sharedStrings.xml><?xml version="1.0" encoding="utf-8"?>
<sst xmlns="http://schemas.openxmlformats.org/spreadsheetml/2006/main" count="34" uniqueCount="27">
  <si>
    <t xml:space="preserve">Suspensión   =  14/03/2020 ------ 31/05/2020                  </t>
  </si>
  <si>
    <t>Total de días de suspensión =</t>
  </si>
  <si>
    <t>Fecha devengo anualidad</t>
  </si>
  <si>
    <t>Tasa Anualidad</t>
  </si>
  <si>
    <t>T. A. + 25%</t>
  </si>
  <si>
    <t>T.A.+ 50%</t>
  </si>
  <si>
    <t>T.A.+ 50% +regulariz.</t>
  </si>
  <si>
    <t>Anualidad</t>
  </si>
  <si>
    <t>Núm. Años hasta 2020</t>
  </si>
  <si>
    <t xml:space="preserve">Pago de anualidad </t>
  </si>
  <si>
    <t>Desde</t>
  </si>
  <si>
    <t>Hasta</t>
  </si>
  <si>
    <t>Recargo +25% hasta:</t>
  </si>
  <si>
    <t>Recargo +50% hasta:</t>
  </si>
  <si>
    <t xml:space="preserve">  -</t>
  </si>
  <si>
    <t xml:space="preserve"> </t>
  </si>
  <si>
    <t>Fecha de devengo</t>
  </si>
  <si>
    <t>valor corregido</t>
  </si>
  <si>
    <t>mayor de 2018 o hoy mayor de</t>
  </si>
  <si>
    <t xml:space="preserve">HOY </t>
  </si>
  <si>
    <t>Recargo +50% + 
Tasa Regularización</t>
  </si>
  <si>
    <t xml:space="preserve">CÁLCULO DE PLAZOS PARA EL PAGO DE ANUALIDADES DE PATENTES Y MODELOS DE UTILIDAD </t>
  </si>
  <si>
    <t>Patente</t>
  </si>
  <si>
    <t>Modelo Utilidad</t>
  </si>
  <si>
    <t>Observaciones:</t>
  </si>
  <si>
    <t xml:space="preserve"> - Cálculo realizado para el día</t>
  </si>
  <si>
    <t>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</si>
</sst>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2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4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BDD7EE"/>
      </top>
      <bottom style="medium">
        <color rgb="FFBDD7EE"/>
      </bottom>
      <diagonal/>
    </border>
    <border>
      <left/>
      <right/>
      <top/>
      <bottom style="medium">
        <color rgb="FFBDD7EE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0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14" fontId="0" fillId="3" borderId="0" xfId="0" applyNumberFormat="1" applyFill="1" applyBorder="1"/>
    <xf numFmtId="1" fontId="0" fillId="3" borderId="0" xfId="0" applyNumberFormat="1" applyFill="1"/>
    <xf numFmtId="0" fontId="9" fillId="3" borderId="0" xfId="0" applyFont="1" applyFill="1"/>
    <xf numFmtId="0" fontId="1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9" fontId="12" fillId="3" borderId="13" xfId="0" applyNumberFormat="1" applyFont="1" applyFill="1" applyBorder="1" applyAlignment="1">
      <alignment horizontal="center" vertical="center" wrapText="1"/>
    </xf>
    <xf numFmtId="9" fontId="12" fillId="3" borderId="0" xfId="0" applyNumberFormat="1" applyFont="1" applyFill="1" applyBorder="1" applyAlignment="1">
      <alignment horizontal="center" vertical="center" wrapText="1"/>
    </xf>
    <xf numFmtId="9" fontId="12" fillId="3" borderId="10" xfId="0" applyNumberFormat="1" applyFont="1" applyFill="1" applyBorder="1" applyAlignment="1">
      <alignment horizontal="center" wrapText="1"/>
    </xf>
    <xf numFmtId="9" fontId="12" fillId="3" borderId="12" xfId="0" applyNumberFormat="1" applyFont="1" applyFill="1" applyBorder="1" applyAlignment="1">
      <alignment horizontal="center" wrapText="1"/>
    </xf>
    <xf numFmtId="9" fontId="12" fillId="3" borderId="11" xfId="0" applyNumberFormat="1" applyFont="1" applyFill="1" applyBorder="1" applyAlignment="1">
      <alignment horizontal="center" wrapText="1"/>
    </xf>
    <xf numFmtId="9" fontId="12" fillId="3" borderId="0" xfId="0" applyNumberFormat="1" applyFont="1" applyFill="1" applyBorder="1" applyAlignment="1">
      <alignment horizontal="center"/>
    </xf>
    <xf numFmtId="9" fontId="12" fillId="3" borderId="14" xfId="0" applyNumberFormat="1" applyFont="1" applyFill="1" applyBorder="1" applyAlignment="1">
      <alignment horizontal="center" wrapText="1"/>
    </xf>
    <xf numFmtId="9" fontId="0" fillId="3" borderId="0" xfId="0" applyNumberForma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14" fontId="15" fillId="2" borderId="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4" fontId="15" fillId="2" borderId="9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7" fillId="3" borderId="0" xfId="0" applyFont="1" applyFill="1"/>
    <xf numFmtId="14" fontId="16" fillId="6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14" fontId="0" fillId="3" borderId="19" xfId="0" applyNumberFormat="1" applyFill="1" applyBorder="1"/>
    <xf numFmtId="14" fontId="0" fillId="3" borderId="22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19" fillId="3" borderId="0" xfId="0" applyFont="1" applyFill="1"/>
    <xf numFmtId="14" fontId="20" fillId="6" borderId="3" xfId="0" applyNumberFormat="1" applyFont="1" applyFill="1" applyBorder="1" applyAlignment="1" applyProtection="1">
      <alignment horizontal="center" vertical="center"/>
      <protection locked="0"/>
    </xf>
    <xf numFmtId="14" fontId="0" fillId="3" borderId="23" xfId="0" applyNumberFormat="1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1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right"/>
    </xf>
    <xf numFmtId="0" fontId="12" fillId="3" borderId="16" xfId="0" applyFont="1" applyFill="1" applyBorder="1" applyAlignment="1">
      <alignment vertical="center"/>
    </xf>
    <xf numFmtId="14" fontId="21" fillId="3" borderId="17" xfId="0" applyNumberFormat="1" applyFont="1" applyFill="1" applyBorder="1" applyAlignment="1">
      <alignment vertical="center"/>
    </xf>
    <xf numFmtId="14" fontId="21" fillId="3" borderId="15" xfId="0" applyNumberFormat="1" applyFont="1" applyFill="1" applyBorder="1" applyAlignment="1">
      <alignment horizontal="left" vertical="center"/>
    </xf>
    <xf numFmtId="14" fontId="19" fillId="3" borderId="0" xfId="0" applyNumberFormat="1" applyFont="1" applyFill="1" applyAlignment="1">
      <alignment horizontal="left"/>
    </xf>
    <xf numFmtId="164" fontId="19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14" fontId="22" fillId="6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3</xdr:row>
      <xdr:rowOff>342899</xdr:rowOff>
    </xdr:from>
    <xdr:to>
      <xdr:col>3</xdr:col>
      <xdr:colOff>514350</xdr:colOff>
      <xdr:row>8</xdr:row>
      <xdr:rowOff>38099</xdr:rowOff>
    </xdr:to>
    <xdr:sp macro="" textlink="">
      <xdr:nvSpPr>
        <xdr:cNvPr id="2" name="Flecha derecha 1"/>
        <xdr:cNvSpPr>
          <a:spLocks noChangeAspect="1"/>
        </xdr:cNvSpPr>
      </xdr:nvSpPr>
      <xdr:spPr>
        <a:xfrm>
          <a:off x="57150" y="1514474"/>
          <a:ext cx="2105025" cy="1419225"/>
        </a:xfrm>
        <a:prstGeom prst="rightArrow">
          <a:avLst>
            <a:gd name="adj1" fmla="val 52532"/>
            <a:gd name="adj2" fmla="val 51887"/>
          </a:avLst>
        </a:prstGeom>
        <a:solidFill>
          <a:schemeClr val="accent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 b="1"/>
            <a:t>FECHA DE PRESENTACIÓN</a:t>
          </a:r>
          <a:r>
            <a:rPr lang="es-ES" sz="1200" b="1" baseline="0"/>
            <a:t> DE LA </a:t>
          </a:r>
        </a:p>
        <a:p>
          <a:pPr algn="l"/>
          <a:r>
            <a:rPr lang="es-ES" sz="1200" b="1" baseline="0"/>
            <a:t>SOLICITUD</a:t>
          </a:r>
          <a:endParaRPr lang="es-ES" sz="1200" b="1"/>
        </a:p>
      </xdr:txBody>
    </xdr:sp>
    <xdr:clientData/>
  </xdr:twoCellAnchor>
  <xdr:twoCellAnchor editAs="absolute">
    <xdr:from>
      <xdr:col>10</xdr:col>
      <xdr:colOff>257175</xdr:colOff>
      <xdr:row>0</xdr:row>
      <xdr:rowOff>27617</xdr:rowOff>
    </xdr:from>
    <xdr:to>
      <xdr:col>14</xdr:col>
      <xdr:colOff>1235902</xdr:colOff>
      <xdr:row>2</xdr:row>
      <xdr:rowOff>126886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27617"/>
          <a:ext cx="3464752" cy="680294"/>
        </a:xfrm>
        <a:prstGeom prst="rect">
          <a:avLst/>
        </a:prstGeom>
      </xdr:spPr>
    </xdr:pic>
    <xdr:clientData/>
  </xdr:twoCellAnchor>
  <xdr:twoCellAnchor editAs="absolute">
    <xdr:from>
      <xdr:col>0</xdr:col>
      <xdr:colOff>66676</xdr:colOff>
      <xdr:row>1</xdr:row>
      <xdr:rowOff>108057</xdr:rowOff>
    </xdr:from>
    <xdr:to>
      <xdr:col>3</xdr:col>
      <xdr:colOff>476251</xdr:colOff>
      <xdr:row>3</xdr:row>
      <xdr:rowOff>152400</xdr:rowOff>
    </xdr:to>
    <xdr:sp macro="" textlink="">
      <xdr:nvSpPr>
        <xdr:cNvPr id="5" name="Flecha derecha 4"/>
        <xdr:cNvSpPr>
          <a:spLocks noChangeAspect="1"/>
        </xdr:cNvSpPr>
      </xdr:nvSpPr>
      <xdr:spPr>
        <a:xfrm>
          <a:off x="66676" y="460482"/>
          <a:ext cx="2057400" cy="863493"/>
        </a:xfrm>
        <a:prstGeom prst="rightArrow">
          <a:avLst>
            <a:gd name="adj1" fmla="val 52532"/>
            <a:gd name="adj2" fmla="val 51887"/>
          </a:avLst>
        </a:prstGeom>
        <a:solidFill>
          <a:schemeClr val="accent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 b="1"/>
            <a:t>MODALIDAD</a:t>
          </a:r>
        </a:p>
      </xdr:txBody>
    </xdr:sp>
    <xdr:clientData/>
  </xdr:twoCellAnchor>
  <xdr:twoCellAnchor editAs="absolute">
    <xdr:from>
      <xdr:col>8</xdr:col>
      <xdr:colOff>1514475</xdr:colOff>
      <xdr:row>3</xdr:row>
      <xdr:rowOff>234590</xdr:rowOff>
    </xdr:from>
    <xdr:to>
      <xdr:col>12</xdr:col>
      <xdr:colOff>1000125</xdr:colOff>
      <xdr:row>7</xdr:row>
      <xdr:rowOff>190499</xdr:rowOff>
    </xdr:to>
    <xdr:sp macro="" textlink="">
      <xdr:nvSpPr>
        <xdr:cNvPr id="6" name="Flecha derecha 5"/>
        <xdr:cNvSpPr>
          <a:spLocks noChangeAspect="1"/>
        </xdr:cNvSpPr>
      </xdr:nvSpPr>
      <xdr:spPr>
        <a:xfrm>
          <a:off x="6877050" y="1406165"/>
          <a:ext cx="2495550" cy="1451334"/>
        </a:xfrm>
        <a:prstGeom prst="rightArrow">
          <a:avLst>
            <a:gd name="adj1" fmla="val 52532"/>
            <a:gd name="adj2" fmla="val 51887"/>
          </a:avLst>
        </a:prstGeom>
        <a:solidFill>
          <a:schemeClr val="accent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 b="1"/>
            <a:t>FECHA DE</a:t>
          </a:r>
          <a:r>
            <a:rPr lang="es-ES" sz="1200" b="1" baseline="0"/>
            <a:t> SITUACIÓN PARA LA QUE SE QUIERE HACER EL CÁLCULO DE PLAZOS</a:t>
          </a:r>
          <a:endParaRPr lang="es-E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5"/>
  <sheetViews>
    <sheetView tabSelected="1" workbookViewId="0">
      <selection activeCell="E6" sqref="E6"/>
    </sheetView>
  </sheetViews>
  <sheetFormatPr baseColWidth="10" defaultRowHeight="15" x14ac:dyDescent="0.25"/>
  <cols>
    <col min="1" max="1" width="3.7109375" style="3" customWidth="1"/>
    <col min="2" max="2" width="13.7109375" style="3" customWidth="1"/>
    <col min="3" max="3" width="7.28515625" style="3" customWidth="1"/>
    <col min="4" max="4" width="8.42578125" style="3" customWidth="1"/>
    <col min="5" max="5" width="22.5703125" style="3" customWidth="1"/>
    <col min="6" max="6" width="1.42578125" style="3" customWidth="1"/>
    <col min="7" max="7" width="18.85546875" style="3" customWidth="1"/>
    <col min="8" max="8" width="4.42578125" style="3" customWidth="1"/>
    <col min="9" max="9" width="23.7109375" style="3" customWidth="1"/>
    <col min="10" max="10" width="2.28515625" style="3" customWidth="1"/>
    <col min="11" max="11" width="18" style="3" customWidth="1"/>
    <col min="12" max="12" width="1.140625" style="3" customWidth="1"/>
    <col min="13" max="13" width="16.7109375" style="3" customWidth="1"/>
    <col min="14" max="14" width="1.42578125" style="3" customWidth="1"/>
    <col min="15" max="15" width="22.7109375" style="3" customWidth="1"/>
    <col min="16" max="16" width="2.85546875" style="3" customWidth="1"/>
    <col min="17" max="30" width="13.5703125" style="3" customWidth="1"/>
    <col min="31" max="31" width="14.42578125" style="3" customWidth="1"/>
    <col min="32" max="16384" width="11.42578125" style="3"/>
  </cols>
  <sheetData>
    <row r="1" spans="2:29" ht="27.75" customHeight="1" x14ac:dyDescent="0.3">
      <c r="B1" s="49" t="s">
        <v>21</v>
      </c>
    </row>
    <row r="2" spans="2:29" ht="18" customHeight="1" thickBot="1" x14ac:dyDescent="0.3"/>
    <row r="3" spans="2:29" ht="46.5" customHeight="1" thickBot="1" x14ac:dyDescent="0.3">
      <c r="E3" s="60" t="s">
        <v>22</v>
      </c>
      <c r="V3" s="62" t="s">
        <v>22</v>
      </c>
    </row>
    <row r="4" spans="2:29" ht="39" customHeight="1" thickBot="1" x14ac:dyDescent="0.3">
      <c r="V4" s="63" t="s">
        <v>23</v>
      </c>
    </row>
    <row r="5" spans="2:29" ht="15.75" thickBot="1" x14ac:dyDescent="0.3">
      <c r="O5" s="65"/>
      <c r="V5" s="64">
        <f>IF(E3=V3,20,10)</f>
        <v>20</v>
      </c>
      <c r="W5" s="61" t="s">
        <v>19</v>
      </c>
    </row>
    <row r="6" spans="2:29" ht="47.25" customHeight="1" thickBot="1" x14ac:dyDescent="0.3">
      <c r="B6" s="4"/>
      <c r="E6" s="50">
        <v>40179</v>
      </c>
      <c r="F6" s="5"/>
      <c r="I6" s="57"/>
      <c r="O6" s="76">
        <v>43831</v>
      </c>
      <c r="W6" s="53">
        <f>+O6</f>
        <v>43831</v>
      </c>
    </row>
    <row r="7" spans="2:29" ht="15.75" thickBot="1" x14ac:dyDescent="0.3">
      <c r="M7" s="68"/>
      <c r="O7" s="67"/>
      <c r="U7" s="3" t="s">
        <v>8</v>
      </c>
      <c r="W7" s="51" t="s">
        <v>18</v>
      </c>
      <c r="X7" s="52">
        <v>44592</v>
      </c>
    </row>
    <row r="8" spans="2:29" ht="18" customHeight="1" x14ac:dyDescent="0.25">
      <c r="O8" s="66"/>
      <c r="U8" s="6">
        <f>2019-YEAR(E6)</f>
        <v>9</v>
      </c>
      <c r="V8" s="6">
        <f>+V5-U8</f>
        <v>11</v>
      </c>
      <c r="W8" s="54" t="b">
        <f>IF(W6&gt;X7,TRUE(),IF(YEAR(E6)&lt;2019,FALSE(),TRUE()))</f>
        <v>0</v>
      </c>
      <c r="X8" s="74" t="s">
        <v>0</v>
      </c>
      <c r="Y8" s="74"/>
      <c r="Z8" s="74"/>
      <c r="AA8" s="74"/>
      <c r="AB8" s="74"/>
    </row>
    <row r="9" spans="2:29" ht="21.75" customHeight="1" x14ac:dyDescent="0.25">
      <c r="B9" s="7"/>
      <c r="C9" s="7"/>
      <c r="D9" s="7"/>
      <c r="E9" s="8"/>
      <c r="F9" s="9"/>
      <c r="G9" s="71">
        <f>+O6</f>
        <v>43831</v>
      </c>
      <c r="H9" s="69"/>
      <c r="I9" s="69"/>
      <c r="J9" s="69"/>
      <c r="K9" s="69" t="s">
        <v>9</v>
      </c>
      <c r="L9" s="69"/>
      <c r="M9" s="69"/>
      <c r="N9" s="69"/>
      <c r="O9" s="70"/>
      <c r="W9" s="55">
        <f>YEAR(W6)-YEAR(E6)</f>
        <v>10</v>
      </c>
      <c r="X9" s="75" t="s">
        <v>1</v>
      </c>
      <c r="Y9" s="75"/>
      <c r="Z9" s="75"/>
      <c r="AA9" s="10">
        <v>79</v>
      </c>
      <c r="AB9" s="11"/>
    </row>
    <row r="10" spans="2:29" ht="30" customHeight="1" thickBot="1" x14ac:dyDescent="0.3">
      <c r="B10" s="7"/>
      <c r="C10" s="7"/>
      <c r="D10" s="7"/>
      <c r="E10" s="12" t="s">
        <v>16</v>
      </c>
      <c r="F10" s="9"/>
      <c r="G10" s="13" t="s">
        <v>10</v>
      </c>
      <c r="H10" s="14"/>
      <c r="I10" s="14" t="s">
        <v>11</v>
      </c>
      <c r="J10" s="15"/>
      <c r="K10" s="16" t="s">
        <v>12</v>
      </c>
      <c r="L10" s="17"/>
      <c r="M10" s="16" t="s">
        <v>13</v>
      </c>
      <c r="N10" s="18"/>
      <c r="O10" s="19" t="s">
        <v>20</v>
      </c>
      <c r="P10" s="20"/>
      <c r="Q10" s="20"/>
      <c r="R10" s="20"/>
      <c r="S10" s="20"/>
      <c r="V10" s="3" t="s">
        <v>17</v>
      </c>
      <c r="W10" s="56">
        <f>IF(W9&lt;3,3,IF(W9&gt;(V5-3),V5-3,W9))</f>
        <v>10</v>
      </c>
      <c r="X10" s="21" t="s">
        <v>2</v>
      </c>
      <c r="Y10" s="22" t="s">
        <v>3</v>
      </c>
      <c r="Z10" s="22" t="s">
        <v>4</v>
      </c>
      <c r="AA10" s="22" t="s">
        <v>5</v>
      </c>
      <c r="AB10" s="22" t="s">
        <v>6</v>
      </c>
      <c r="AC10" s="3" t="s">
        <v>15</v>
      </c>
    </row>
    <row r="11" spans="2:29" ht="35.25" customHeight="1" thickTop="1" thickBot="1" x14ac:dyDescent="0.3">
      <c r="B11" s="23" t="s">
        <v>7</v>
      </c>
      <c r="C11" s="33">
        <f>IF(W8,W10,IF(V8&lt;1,V5,IF(U8=1,"",U8+1)))</f>
        <v>10</v>
      </c>
      <c r="D11" s="7"/>
      <c r="E11" s="34">
        <f>IF(W8,EOMONTH($E$6,(C11-1)*12),IF(U8=1,"",EOMONTH($E$6,(C11-1)*12)))</f>
        <v>43496</v>
      </c>
      <c r="F11" s="24"/>
      <c r="G11" s="36">
        <f>IF(W8,+E11+1,IF(U8=1,"",+E11+1))</f>
        <v>43497</v>
      </c>
      <c r="H11" s="37" t="s">
        <v>14</v>
      </c>
      <c r="I11" s="38">
        <f>IF(W8,EOMONTH($E$11,3),IF(V8&lt;1,EOMONTH(E11,3),IF(U8=1,"",VLOOKUP($E$11,$X$11:$AB$35,2))))</f>
        <v>43585</v>
      </c>
      <c r="J11" s="1"/>
      <c r="K11" s="42">
        <f>IF(W8,EOMONTH($I$11,3),IF(V8&lt;1,EOMONTH(I11,3),IF(U8=1,"",VLOOKUP($E$11,$X$11:$AB$35,3))))</f>
        <v>43677</v>
      </c>
      <c r="L11" s="43"/>
      <c r="M11" s="44">
        <f>IF(W8,EOMONTH($K$11,3),IF(V8&lt;1,EOMONTH(K11,3),IF(U8=1,"",VLOOKUP($E$11,$X$11:$AB$35,4))))</f>
        <v>43769</v>
      </c>
      <c r="N11" s="45"/>
      <c r="O11" s="46">
        <f>IF(W8,EOMONTH($M$11,3),IF(V8&lt;1,EOMONTH(M11,3),IF(U8=1,"",VLOOKUP($E$11,$X$11:$AB$35,5))))</f>
        <v>43861</v>
      </c>
      <c r="X11" s="25">
        <v>43496</v>
      </c>
      <c r="Y11" s="25">
        <f>EOMONTH(X11,3)</f>
        <v>43585</v>
      </c>
      <c r="Z11" s="25">
        <f>EOMONTH(Y11,3)</f>
        <v>43677</v>
      </c>
      <c r="AA11" s="25">
        <f t="shared" ref="AA11:AB11" si="0">EOMONTH(Z11,3)</f>
        <v>43769</v>
      </c>
      <c r="AB11" s="25">
        <f t="shared" si="0"/>
        <v>43861</v>
      </c>
    </row>
    <row r="12" spans="2:29" ht="16.5" thickBot="1" x14ac:dyDescent="0.3">
      <c r="B12" s="7"/>
      <c r="C12" s="7"/>
      <c r="D12" s="7"/>
      <c r="E12" s="35"/>
      <c r="F12" s="24"/>
      <c r="G12" s="39"/>
      <c r="H12" s="39"/>
      <c r="I12" s="40"/>
      <c r="J12" s="24"/>
      <c r="K12" s="47"/>
      <c r="L12" s="47"/>
      <c r="M12" s="47"/>
      <c r="N12" s="39"/>
      <c r="O12" s="39"/>
      <c r="X12" s="25">
        <v>43524</v>
      </c>
      <c r="Y12" s="25">
        <v>43616</v>
      </c>
      <c r="Z12" s="25">
        <v>43708</v>
      </c>
      <c r="AA12" s="25">
        <v>43799</v>
      </c>
      <c r="AB12" s="25">
        <v>43890</v>
      </c>
    </row>
    <row r="13" spans="2:29" ht="35.25" customHeight="1" thickTop="1" thickBot="1" x14ac:dyDescent="0.3">
      <c r="B13" s="23" t="s">
        <v>7</v>
      </c>
      <c r="C13" s="32">
        <f>+IF(W8,W10+1,IF(C11=$V$5,"",U8+2))</f>
        <v>11</v>
      </c>
      <c r="D13" s="7"/>
      <c r="E13" s="34">
        <f>IF(C11=$V$5,"",EOMONTH($E$6,(C13-1)*12))</f>
        <v>43861</v>
      </c>
      <c r="F13" s="24"/>
      <c r="G13" s="36">
        <f>IF(C11=$V$5,"",+E13+1)</f>
        <v>43862</v>
      </c>
      <c r="H13" s="37" t="s">
        <v>14</v>
      </c>
      <c r="I13" s="38">
        <f>IF(W8,EOMONTH($E$13,3),IF($C$11=$V$5,"",VLOOKUP($E$13,$X$11:$AB$35,2)))</f>
        <v>44043</v>
      </c>
      <c r="J13" s="2"/>
      <c r="K13" s="42">
        <f>IF(W8,EOMONTH($I$13,3),IF($C$11=$V$5,"",VLOOKUP($E$13,$X$11:$AB$35,3)))</f>
        <v>44135</v>
      </c>
      <c r="L13" s="43"/>
      <c r="M13" s="44">
        <f>IF(W8,EOMONTH($K$13,3),IF($C$11=$V$5,"",VLOOKUP($E$13,$X$11:$AB$35,4)))</f>
        <v>44227</v>
      </c>
      <c r="N13" s="45"/>
      <c r="O13" s="46">
        <f>IF(W8,EOMONTH($M$13,3),IF($C$11=$V$5,"",VLOOKUP($E$13,$X$11:$AB$35,5)))</f>
        <v>44316</v>
      </c>
      <c r="X13" s="26">
        <v>43555</v>
      </c>
      <c r="Y13" s="26">
        <v>43646</v>
      </c>
      <c r="Z13" s="26">
        <v>43738</v>
      </c>
      <c r="AA13" s="26">
        <v>43830</v>
      </c>
      <c r="AB13" s="27">
        <v>44012</v>
      </c>
    </row>
    <row r="14" spans="2:29" ht="15.75" thickBot="1" x14ac:dyDescent="0.3">
      <c r="B14" s="7"/>
      <c r="C14" s="7"/>
      <c r="D14" s="7"/>
      <c r="E14" s="9"/>
      <c r="F14" s="7"/>
      <c r="G14" s="41"/>
      <c r="H14" s="41"/>
      <c r="I14" s="41"/>
      <c r="J14" s="7"/>
      <c r="K14" s="48"/>
      <c r="L14" s="48"/>
      <c r="M14" s="48"/>
      <c r="N14" s="41"/>
      <c r="O14" s="41"/>
      <c r="X14" s="26">
        <v>43585</v>
      </c>
      <c r="Y14" s="26">
        <v>43677</v>
      </c>
      <c r="Z14" s="26">
        <v>43769</v>
      </c>
      <c r="AA14" s="26">
        <v>43861</v>
      </c>
      <c r="AB14" s="27">
        <v>44043</v>
      </c>
    </row>
    <row r="15" spans="2:29" ht="35.25" customHeight="1" thickTop="1" thickBot="1" x14ac:dyDescent="0.3">
      <c r="B15" s="23" t="s">
        <v>7</v>
      </c>
      <c r="C15" s="33">
        <f>+IF(W8,W10+2,IF($C$11=$V$5,"",IF(C13=$V$5,"",C13+1)))</f>
        <v>12</v>
      </c>
      <c r="D15" s="7"/>
      <c r="E15" s="34">
        <f>IF(C11=$V$5,"",IF(C13=$V$5,"",EOMONTH($E$6,(C15-1)*12)))</f>
        <v>44227</v>
      </c>
      <c r="F15" s="24"/>
      <c r="G15" s="36">
        <f>IF(C11=$V$5,"",IF(C13=$V$5,"",+E15+1))</f>
        <v>44228</v>
      </c>
      <c r="H15" s="37" t="s">
        <v>14</v>
      </c>
      <c r="I15" s="38">
        <f>IF($C$11=$V$5,"",IF($C$13=$V$5,"",EOMONTH($E$15,3)))</f>
        <v>44316</v>
      </c>
      <c r="J15" s="2"/>
      <c r="K15" s="42">
        <f>IF($C$11=$V$5,"",IF($C$13=$V$5,"",EOMONTH($I$15,3)))</f>
        <v>44408</v>
      </c>
      <c r="L15" s="43"/>
      <c r="M15" s="44">
        <f>IF($C$11=$V$5,"",IF($C$13=$V$5,"",EOMONTH($K$15,3)))</f>
        <v>44500</v>
      </c>
      <c r="N15" s="45"/>
      <c r="O15" s="46">
        <f>IF($C$11=$V$5,"",IF($C$13=$V$5,"",EOMONTH($M$15,3)))</f>
        <v>44592</v>
      </c>
      <c r="X15" s="26">
        <v>43616</v>
      </c>
      <c r="Y15" s="26">
        <v>43708</v>
      </c>
      <c r="Z15" s="26">
        <v>43799</v>
      </c>
      <c r="AA15" s="26">
        <v>43890</v>
      </c>
      <c r="AB15" s="27">
        <v>44074</v>
      </c>
    </row>
    <row r="16" spans="2:29" ht="15.75" thickBot="1" x14ac:dyDescent="0.3">
      <c r="X16" s="26">
        <v>43646</v>
      </c>
      <c r="Y16" s="26">
        <v>43738</v>
      </c>
      <c r="Z16" s="26">
        <v>43830</v>
      </c>
      <c r="AA16" s="27">
        <v>44012</v>
      </c>
      <c r="AB16" s="28">
        <v>44104</v>
      </c>
    </row>
    <row r="17" spans="2:28" ht="35.25" customHeight="1" thickTop="1" thickBot="1" x14ac:dyDescent="0.3">
      <c r="B17" s="23" t="s">
        <v>7</v>
      </c>
      <c r="C17" s="33">
        <f>+IF(W8,W10+3,IF($C$11=V5,"",IF(C13=V5,"",IF(C15=V5,"",C15+1))))</f>
        <v>13</v>
      </c>
      <c r="D17" s="7"/>
      <c r="E17" s="34">
        <f>IF(C11=$V$5,"",IF(C13=$V$5,"",IF(C15=$V$5,"",EOMONTH($E$6,(C17-1)*12))))</f>
        <v>44592</v>
      </c>
      <c r="F17" s="24"/>
      <c r="G17" s="36">
        <f>IF(C11=$V$5,"",IF(C13=$V$5,"",IF(C15=$V$5,"",+E17+1)))</f>
        <v>44593</v>
      </c>
      <c r="H17" s="37" t="s">
        <v>14</v>
      </c>
      <c r="I17" s="38">
        <f>IF($C$11=$V$5,"",IF($C$13=$V$5,"",IF(C15=$V$5,"",EOMONTH($E$17,3))))</f>
        <v>44681</v>
      </c>
      <c r="J17" s="2"/>
      <c r="K17" s="42">
        <f>IF($C$11=$V$5,"",IF($C$13=$V$5,"",IF(C15=$V$5,"",EOMONTH($I$17,3))))</f>
        <v>44773</v>
      </c>
      <c r="L17" s="43"/>
      <c r="M17" s="44">
        <f>IF($C$11=$V$5,"",IF($C$13=$V$5,"",IF(C15=$V$5,"",EOMONTH($K$17,3))))</f>
        <v>44865</v>
      </c>
      <c r="N17" s="45"/>
      <c r="O17" s="46">
        <f>IF($C$11=$V$5,"",IF($C$13=$V$5,"",IF(C15=$V$5,"",EOMONTH($M$17,3))))</f>
        <v>44957</v>
      </c>
      <c r="X17" s="26">
        <v>43677</v>
      </c>
      <c r="Y17" s="26">
        <v>43769</v>
      </c>
      <c r="Z17" s="26">
        <v>43861</v>
      </c>
      <c r="AA17" s="27">
        <v>44043</v>
      </c>
      <c r="AB17" s="28">
        <v>44135</v>
      </c>
    </row>
    <row r="18" spans="2:28" ht="15.75" thickBot="1" x14ac:dyDescent="0.3">
      <c r="X18" s="26">
        <v>43708</v>
      </c>
      <c r="Y18" s="26">
        <v>43799</v>
      </c>
      <c r="Z18" s="26">
        <v>43890</v>
      </c>
      <c r="AA18" s="27">
        <v>44074</v>
      </c>
      <c r="AB18" s="28">
        <v>44165</v>
      </c>
    </row>
    <row r="19" spans="2:28" ht="15.75" thickBot="1" x14ac:dyDescent="0.3">
      <c r="E19" s="58" t="s">
        <v>24</v>
      </c>
      <c r="G19" s="59" t="s">
        <v>25</v>
      </c>
      <c r="H19" s="72"/>
      <c r="I19" s="73">
        <f>+O6</f>
        <v>43831</v>
      </c>
      <c r="X19" s="26"/>
      <c r="Y19" s="26"/>
      <c r="Z19" s="26"/>
      <c r="AA19" s="27"/>
      <c r="AB19" s="28"/>
    </row>
    <row r="20" spans="2:28" ht="15.75" thickBot="1" x14ac:dyDescent="0.3">
      <c r="E20" s="58"/>
      <c r="F20" s="7"/>
      <c r="G20" s="59" t="str">
        <f>IF(W8,IF(O6&gt;O17,"- Actualmente no procede el pago de ninguna anualidad",""),"- En el cálculo de los plazos se ha tenido en cuenta el periodo de suspensión de plazos dictado durante el estado de alarma de 2020")</f>
        <v>- En el cálculo de los plazos se ha tenido en cuenta el periodo de suspensión de plazos dictado durante el estado de alarma de 2020</v>
      </c>
      <c r="X20" s="26">
        <v>43738</v>
      </c>
      <c r="Y20" s="26">
        <v>43830</v>
      </c>
      <c r="Z20" s="27">
        <v>44012</v>
      </c>
      <c r="AA20" s="28">
        <v>44104</v>
      </c>
      <c r="AB20" s="28">
        <v>44196</v>
      </c>
    </row>
    <row r="21" spans="2:28" ht="15.75" thickBot="1" x14ac:dyDescent="0.3">
      <c r="B21" s="3" t="s">
        <v>26</v>
      </c>
      <c r="C21" s="66"/>
      <c r="G21" s="59" t="str">
        <f>IF(W8,"",IF(C11=$V$5,IF(O6&gt;O11,"- Actualmente no procede el pago de ninguna anualidad",""),IF(C13=$V$5,IF(O6&gt;O13,"- Actualmente no procede el pago de ninguna anualidad",""),IF(C15=$V$5,IF(O6&gt;O15,"- Actualmente no procede el pago de ninguna anualidad",""),IF(C17=$V$5,IF(O6&gt;O17,"- Actualmente no procede el pago de ninguna anualidad",""),"")))))</f>
        <v/>
      </c>
      <c r="X21" s="26">
        <v>43769</v>
      </c>
      <c r="Y21" s="26">
        <v>43861</v>
      </c>
      <c r="Z21" s="27">
        <v>44043</v>
      </c>
      <c r="AA21" s="28">
        <v>44135</v>
      </c>
      <c r="AB21" s="28">
        <v>44227</v>
      </c>
    </row>
    <row r="22" spans="2:28" ht="15.75" thickBot="1" x14ac:dyDescent="0.3">
      <c r="X22" s="26">
        <v>43799</v>
      </c>
      <c r="Y22" s="26">
        <v>43890</v>
      </c>
      <c r="Z22" s="27">
        <v>44074</v>
      </c>
      <c r="AA22" s="28">
        <v>44165</v>
      </c>
      <c r="AB22" s="28">
        <v>44255</v>
      </c>
    </row>
    <row r="23" spans="2:28" ht="15.75" thickBot="1" x14ac:dyDescent="0.3">
      <c r="X23" s="26">
        <v>43830</v>
      </c>
      <c r="Y23" s="27">
        <v>44012</v>
      </c>
      <c r="Z23" s="28">
        <v>44104</v>
      </c>
      <c r="AA23" s="28">
        <v>44196</v>
      </c>
      <c r="AB23" s="28">
        <v>44286</v>
      </c>
    </row>
    <row r="24" spans="2:28" ht="15.75" thickBot="1" x14ac:dyDescent="0.3">
      <c r="X24" s="26">
        <v>43861</v>
      </c>
      <c r="Y24" s="27">
        <v>44043</v>
      </c>
      <c r="Z24" s="28">
        <v>44135</v>
      </c>
      <c r="AA24" s="28">
        <v>44227</v>
      </c>
      <c r="AB24" s="28">
        <v>44316</v>
      </c>
    </row>
    <row r="25" spans="2:28" ht="15.75" thickBot="1" x14ac:dyDescent="0.3">
      <c r="X25" s="26">
        <v>43890</v>
      </c>
      <c r="Y25" s="27">
        <v>44074</v>
      </c>
      <c r="Z25" s="28">
        <v>44165</v>
      </c>
      <c r="AA25" s="28">
        <v>44255</v>
      </c>
      <c r="AB25" s="28">
        <v>44347</v>
      </c>
    </row>
    <row r="26" spans="2:28" ht="15.75" thickBot="1" x14ac:dyDescent="0.3">
      <c r="X26" s="26">
        <v>43921</v>
      </c>
      <c r="Y26" s="29">
        <v>44074</v>
      </c>
      <c r="Z26" s="30">
        <v>44165</v>
      </c>
      <c r="AA26" s="30">
        <v>44255</v>
      </c>
      <c r="AB26" s="30">
        <v>44347</v>
      </c>
    </row>
    <row r="27" spans="2:28" ht="15.75" thickBot="1" x14ac:dyDescent="0.3">
      <c r="X27" s="31">
        <v>43951</v>
      </c>
      <c r="Y27" s="29">
        <v>44074</v>
      </c>
      <c r="Z27" s="30">
        <v>44165</v>
      </c>
      <c r="AA27" s="30">
        <v>44255</v>
      </c>
      <c r="AB27" s="30">
        <v>44347</v>
      </c>
    </row>
    <row r="28" spans="2:28" ht="15.75" thickBot="1" x14ac:dyDescent="0.3">
      <c r="X28" s="26">
        <v>43982</v>
      </c>
      <c r="Y28" s="26">
        <v>44074</v>
      </c>
      <c r="Z28" s="25">
        <f t="shared" ref="Z28" si="1">EOMONTH(Y28,3)</f>
        <v>44165</v>
      </c>
      <c r="AA28" s="25">
        <f t="shared" ref="AA28" si="2">EOMONTH(Z28,3)</f>
        <v>44255</v>
      </c>
      <c r="AB28" s="25">
        <f t="shared" ref="Y28:AB29" si="3">EOMONTH(AA28,3)</f>
        <v>44347</v>
      </c>
    </row>
    <row r="29" spans="2:28" ht="15.75" thickBot="1" x14ac:dyDescent="0.3">
      <c r="X29" s="26">
        <v>44012</v>
      </c>
      <c r="Y29" s="25">
        <f t="shared" si="3"/>
        <v>44104</v>
      </c>
      <c r="Z29" s="25">
        <f t="shared" si="3"/>
        <v>44196</v>
      </c>
      <c r="AA29" s="25">
        <f t="shared" si="3"/>
        <v>44286</v>
      </c>
      <c r="AB29" s="25">
        <f t="shared" si="3"/>
        <v>44377</v>
      </c>
    </row>
    <row r="30" spans="2:28" ht="15.75" thickBot="1" x14ac:dyDescent="0.3">
      <c r="X30" s="26">
        <v>44043</v>
      </c>
      <c r="Y30" s="25">
        <f t="shared" ref="Y30:AB30" si="4">EOMONTH(X30,3)</f>
        <v>44135</v>
      </c>
      <c r="Z30" s="25">
        <f t="shared" si="4"/>
        <v>44227</v>
      </c>
      <c r="AA30" s="25">
        <f t="shared" si="4"/>
        <v>44316</v>
      </c>
      <c r="AB30" s="25">
        <f t="shared" si="4"/>
        <v>44408</v>
      </c>
    </row>
    <row r="31" spans="2:28" ht="15.75" thickBot="1" x14ac:dyDescent="0.3">
      <c r="X31" s="26">
        <v>44074</v>
      </c>
      <c r="Y31" s="25">
        <f t="shared" ref="Y31:AB31" si="5">EOMONTH(X31,3)</f>
        <v>44165</v>
      </c>
      <c r="Z31" s="25">
        <f t="shared" si="5"/>
        <v>44255</v>
      </c>
      <c r="AA31" s="25">
        <f t="shared" si="5"/>
        <v>44347</v>
      </c>
      <c r="AB31" s="25">
        <f t="shared" si="5"/>
        <v>44439</v>
      </c>
    </row>
    <row r="32" spans="2:28" ht="15.75" thickBot="1" x14ac:dyDescent="0.3">
      <c r="X32" s="26">
        <v>44104</v>
      </c>
      <c r="Y32" s="25">
        <f t="shared" ref="Y32:AB32" si="6">EOMONTH(X32,3)</f>
        <v>44196</v>
      </c>
      <c r="Z32" s="25">
        <f t="shared" si="6"/>
        <v>44286</v>
      </c>
      <c r="AA32" s="25">
        <f t="shared" si="6"/>
        <v>44377</v>
      </c>
      <c r="AB32" s="25">
        <f t="shared" si="6"/>
        <v>44469</v>
      </c>
    </row>
    <row r="33" spans="24:28" ht="15.75" thickBot="1" x14ac:dyDescent="0.3">
      <c r="X33" s="26">
        <v>44135</v>
      </c>
      <c r="Y33" s="25">
        <f t="shared" ref="Y33:AB33" si="7">EOMONTH(X33,3)</f>
        <v>44227</v>
      </c>
      <c r="Z33" s="25">
        <f t="shared" si="7"/>
        <v>44316</v>
      </c>
      <c r="AA33" s="25">
        <f t="shared" si="7"/>
        <v>44408</v>
      </c>
      <c r="AB33" s="25">
        <f t="shared" si="7"/>
        <v>44500</v>
      </c>
    </row>
    <row r="34" spans="24:28" ht="15.75" thickBot="1" x14ac:dyDescent="0.3">
      <c r="X34" s="26">
        <v>44165</v>
      </c>
      <c r="Y34" s="25">
        <f t="shared" ref="Y34:AB35" si="8">EOMONTH(X34,3)</f>
        <v>44255</v>
      </c>
      <c r="Z34" s="25">
        <f t="shared" si="8"/>
        <v>44347</v>
      </c>
      <c r="AA34" s="25">
        <f t="shared" si="8"/>
        <v>44439</v>
      </c>
      <c r="AB34" s="25">
        <f t="shared" si="8"/>
        <v>44530</v>
      </c>
    </row>
    <row r="35" spans="24:28" ht="15.75" thickBot="1" x14ac:dyDescent="0.3">
      <c r="X35" s="26">
        <v>44196</v>
      </c>
      <c r="Y35" s="25">
        <f t="shared" si="8"/>
        <v>44286</v>
      </c>
      <c r="Z35" s="25">
        <f t="shared" si="8"/>
        <v>44377</v>
      </c>
      <c r="AA35" s="25">
        <f t="shared" si="8"/>
        <v>44469</v>
      </c>
      <c r="AB35" s="25">
        <f t="shared" si="8"/>
        <v>44561</v>
      </c>
    </row>
  </sheetData>
  <sheetProtection algorithmName="SHA-512" hashValue="a3NVltYzDQMkO6z5ugzAgHwvkdn74FdLuKDBgYs5NeH5EdwlNoj2HOhQGbAwhEoUiMWwKCMHDR7sfZZ/Q/w3zQ==" saltValue="scvxFvCqSUpe5mCZUbQ+zA==" spinCount="100000" sheet="1" objects="1" scenarios="1" selectLockedCells="1"/>
  <mergeCells count="2">
    <mergeCell ref="X8:AB8"/>
    <mergeCell ref="X9:Z9"/>
  </mergeCells>
  <conditionalFormatting sqref="E11:O11">
    <cfRule type="cellIs" dxfId="3" priority="6" operator="lessThan">
      <formula>$O$6</formula>
    </cfRule>
  </conditionalFormatting>
  <conditionalFormatting sqref="E13:O13">
    <cfRule type="cellIs" dxfId="2" priority="5" operator="lessThan">
      <formula>$O$6</formula>
    </cfRule>
  </conditionalFormatting>
  <conditionalFormatting sqref="E15:O15">
    <cfRule type="cellIs" dxfId="1" priority="4" operator="lessThan">
      <formula>$O$6</formula>
    </cfRule>
  </conditionalFormatting>
  <conditionalFormatting sqref="E17:O17">
    <cfRule type="cellIs" dxfId="0" priority="3" operator="lessThan">
      <formula>$O$6</formula>
    </cfRule>
  </conditionalFormatting>
  <dataValidations count="2">
    <dataValidation type="date" allowBlank="1" showInputMessage="1" showErrorMessage="1" errorTitle="Fecha" error="Formato de fecha dd/mm/aaaa_x000a_Fechas entre 01/01/2000 y 31/12/2018" sqref="E6">
      <formula1>36526</formula1>
      <formula2>401768</formula2>
    </dataValidation>
    <dataValidation type="list" allowBlank="1" showInputMessage="1" showErrorMessage="1" sqref="E3">
      <formula1>$V$3:$V$4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dcterms:created xsi:type="dcterms:W3CDTF">2020-06-07T09:25:25Z</dcterms:created>
  <dcterms:modified xsi:type="dcterms:W3CDTF">2022-11-03T10:57:41Z</dcterms:modified>
</cp:coreProperties>
</file>